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82e5487d6129e9/Desktop/IBS surveys Dawson  Creek 2020/"/>
    </mc:Choice>
  </mc:AlternateContent>
  <xr:revisionPtr revIDLastSave="65" documentId="8_{07DA8D2C-8888-4262-9362-5932DDD74F82}" xr6:coauthVersionLast="46" xr6:coauthVersionMax="46" xr10:uidLastSave="{3B200515-3DBF-4713-A8FE-8B8A3F832737}"/>
  <bookViews>
    <workbookView xWindow="-120" yWindow="-120" windowWidth="20730" windowHeight="11160" tabRatio="603" activeTab="3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EB10" i="1" s="1"/>
  <c r="DT10" i="1"/>
  <c r="DU10" i="1"/>
  <c r="DV10" i="1"/>
  <c r="DW10" i="1"/>
  <c r="DX10" i="1"/>
  <c r="DY10" i="1"/>
  <c r="DZ10" i="1"/>
  <c r="EA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EB16" i="1" s="1"/>
  <c r="DS16" i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EB36" i="1" s="1"/>
  <c r="DS36" i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EB122" i="1" s="1"/>
  <c r="DS122" i="1"/>
  <c r="DT122" i="1"/>
  <c r="DU122" i="1"/>
  <c r="DV122" i="1"/>
  <c r="DW122" i="1"/>
  <c r="DX122" i="1"/>
  <c r="DY122" i="1"/>
  <c r="DZ122" i="1"/>
  <c r="EA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EB130" i="1" s="1"/>
  <c r="DT130" i="1"/>
  <c r="DU130" i="1"/>
  <c r="DV130" i="1"/>
  <c r="DW130" i="1"/>
  <c r="DX130" i="1"/>
  <c r="DY130" i="1"/>
  <c r="DZ130" i="1"/>
  <c r="EA130" i="1"/>
  <c r="ED130" i="1"/>
  <c r="EE130" i="1"/>
  <c r="DQ131" i="1"/>
  <c r="DR131" i="1"/>
  <c r="DS131" i="1"/>
  <c r="DT131" i="1"/>
  <c r="DU131" i="1"/>
  <c r="EB131" i="1" s="1"/>
  <c r="DV131" i="1"/>
  <c r="DW131" i="1"/>
  <c r="DX131" i="1"/>
  <c r="DY131" i="1"/>
  <c r="EC131" i="1" s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EB133" i="1" s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EB138" i="1" s="1"/>
  <c r="DT138" i="1"/>
  <c r="DU138" i="1"/>
  <c r="DV138" i="1"/>
  <c r="DW138" i="1"/>
  <c r="DX138" i="1"/>
  <c r="DY138" i="1"/>
  <c r="DZ138" i="1"/>
  <c r="EA138" i="1"/>
  <c r="ED138" i="1"/>
  <c r="EE138" i="1"/>
  <c r="DQ139" i="1"/>
  <c r="DR139" i="1"/>
  <c r="DS139" i="1"/>
  <c r="DT139" i="1"/>
  <c r="DU139" i="1"/>
  <c r="EB139" i="1" s="1"/>
  <c r="DV139" i="1"/>
  <c r="DW139" i="1"/>
  <c r="DX139" i="1"/>
  <c r="DY139" i="1"/>
  <c r="EC139" i="1" s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EB141" i="1" s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EB146" i="1" s="1"/>
  <c r="DT146" i="1"/>
  <c r="DU146" i="1"/>
  <c r="DV146" i="1"/>
  <c r="DW146" i="1"/>
  <c r="DX146" i="1"/>
  <c r="DY146" i="1"/>
  <c r="DZ146" i="1"/>
  <c r="EA146" i="1"/>
  <c r="ED146" i="1"/>
  <c r="EE146" i="1"/>
  <c r="DQ147" i="1"/>
  <c r="DR147" i="1"/>
  <c r="DS147" i="1"/>
  <c r="DT147" i="1"/>
  <c r="DU147" i="1"/>
  <c r="EB147" i="1" s="1"/>
  <c r="DV147" i="1"/>
  <c r="DW147" i="1"/>
  <c r="DX147" i="1"/>
  <c r="DY147" i="1"/>
  <c r="EC147" i="1" s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EB149" i="1" s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EB154" i="1" s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EB155" i="1" s="1"/>
  <c r="DV155" i="1"/>
  <c r="DW155" i="1"/>
  <c r="DX155" i="1"/>
  <c r="DY155" i="1"/>
  <c r="EC155" i="1" s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EB157" i="1" s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EB162" i="1" s="1"/>
  <c r="DT162" i="1"/>
  <c r="DU162" i="1"/>
  <c r="DV162" i="1"/>
  <c r="DW162" i="1"/>
  <c r="DX162" i="1"/>
  <c r="DY162" i="1"/>
  <c r="DZ162" i="1"/>
  <c r="EA162" i="1"/>
  <c r="ED162" i="1"/>
  <c r="EE162" i="1"/>
  <c r="DQ163" i="1"/>
  <c r="DR163" i="1"/>
  <c r="DS163" i="1"/>
  <c r="DT163" i="1"/>
  <c r="DU163" i="1"/>
  <c r="EB163" i="1" s="1"/>
  <c r="DV163" i="1"/>
  <c r="DW163" i="1"/>
  <c r="DX163" i="1"/>
  <c r="DY163" i="1"/>
  <c r="EC163" i="1" s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EB165" i="1" s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DZ203" i="1"/>
  <c r="G32" i="2" s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L53" i="2" l="1"/>
  <c r="L51" i="2"/>
  <c r="EB3" i="1"/>
  <c r="EC3" i="1" s="1"/>
  <c r="EC96" i="1"/>
  <c r="EC48" i="1"/>
  <c r="EC120" i="1"/>
  <c r="EC116" i="1"/>
  <c r="EC84" i="1"/>
  <c r="EC162" i="1"/>
  <c r="EB160" i="1"/>
  <c r="EC160" i="1" s="1"/>
  <c r="EC154" i="1"/>
  <c r="EC152" i="1"/>
  <c r="EB152" i="1"/>
  <c r="EC146" i="1"/>
  <c r="EB144" i="1"/>
  <c r="EC144" i="1" s="1"/>
  <c r="EC138" i="1"/>
  <c r="EB136" i="1"/>
  <c r="EC136" i="1" s="1"/>
  <c r="EC130" i="1"/>
  <c r="EB128" i="1"/>
  <c r="EC128" i="1" s="1"/>
  <c r="EB116" i="1"/>
  <c r="EB100" i="1"/>
  <c r="EC100" i="1" s="1"/>
  <c r="EB84" i="1"/>
  <c r="EB68" i="1"/>
  <c r="EC68" i="1" s="1"/>
  <c r="EB52" i="1"/>
  <c r="EC52" i="1" s="1"/>
  <c r="EB18" i="1"/>
  <c r="EB13" i="1"/>
  <c r="EB4" i="1"/>
  <c r="EC4" i="1" s="1"/>
  <c r="EB200" i="1"/>
  <c r="EB188" i="1"/>
  <c r="EC188" i="1" s="1"/>
  <c r="EB184" i="1"/>
  <c r="EB180" i="1"/>
  <c r="EB176" i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25" i="1"/>
  <c r="EB108" i="1"/>
  <c r="EC108" i="1" s="1"/>
  <c r="EB92" i="1"/>
  <c r="EC92" i="1" s="1"/>
  <c r="EB76" i="1"/>
  <c r="EC76" i="1" s="1"/>
  <c r="EB60" i="1"/>
  <c r="EC60" i="1" s="1"/>
  <c r="EB44" i="1"/>
  <c r="EC44" i="1" s="1"/>
  <c r="EB19" i="1"/>
  <c r="EC19" i="1" s="1"/>
  <c r="EB15" i="1"/>
  <c r="EC15" i="1" s="1"/>
  <c r="EB9" i="1"/>
  <c r="EB5" i="1"/>
  <c r="I30" i="3"/>
  <c r="L59" i="2"/>
  <c r="B15" i="1"/>
  <c r="EB186" i="1"/>
  <c r="EB182" i="1"/>
  <c r="EB178" i="1"/>
  <c r="EB174" i="1"/>
  <c r="EB170" i="1"/>
  <c r="EB166" i="1"/>
  <c r="EB120" i="1"/>
  <c r="EB104" i="1"/>
  <c r="EC104" i="1" s="1"/>
  <c r="EB97" i="1"/>
  <c r="EB88" i="1"/>
  <c r="EC88" i="1" s="1"/>
  <c r="EB81" i="1"/>
  <c r="EC81" i="1" s="1"/>
  <c r="EB72" i="1"/>
  <c r="EC72" i="1" s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68" i="1"/>
  <c r="EC121" i="1"/>
  <c r="EC97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J30" i="3"/>
  <c r="F30" i="3"/>
  <c r="L30" i="3"/>
  <c r="H30" i="3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C22" i="1" l="1"/>
  <c r="G42" i="3"/>
  <c r="G41" i="3"/>
  <c r="F20" i="2"/>
  <c r="J10" i="1" s="1"/>
  <c r="J20" i="2"/>
  <c r="J14" i="1" s="1"/>
  <c r="EC203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<sst xmlns="http://schemas.openxmlformats.org/spreadsheetml/2006/main" count="361" uniqueCount="238">
  <si>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</si>
  <si>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</si>
  <si>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</si>
  <si>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</si>
  <si>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</si>
  <si>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</si>
  <si>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</si>
  <si>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</si>
  <si>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</si>
  <si>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</si>
  <si>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</si>
  <si>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</si>
  <si>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</si>
  <si>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</si>
  <si>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</si>
  <si>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</si>
  <si>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</si>
  <si>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</si>
  <si>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</si>
  <si>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</si>
  <si>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</si>
  <si>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</si>
  <si>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</si>
  <si>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</si>
  <si>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</si>
  <si>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</si>
  <si>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</si>
  <si>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</si>
  <si>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</si>
  <si>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</si>
  <si>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</si>
  <si>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</si>
  <si>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</si>
  <si>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</si>
  <si>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</si>
  <si>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</si>
  <si>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</si>
  <si>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</si>
  <si>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</si>
  <si>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</si>
  <si>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</si>
  <si>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</si>
  <si>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</si>
  <si>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</si>
  <si>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</si>
  <si>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</si>
  <si>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</si>
  <si>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</si>
  <si>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</si>
  <si>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</si>
  <si>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</si>
  <si>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</si>
  <si>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</si>
  <si>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</si>
  <si>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</si>
  <si>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</si>
  <si>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</si>
  <si>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</si>
  <si>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</si>
  <si>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</si>
  <si>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</si>
  <si>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</si>
  <si>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</si>
  <si>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</si>
  <si>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</si>
  <si>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</si>
  <si>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</si>
  <si>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</si>
  <si>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</si>
  <si>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</si>
  <si>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</si>
  <si>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</si>
  <si>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</si>
  <si>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</si>
  <si>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</si>
  <si>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</si>
  <si>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</si>
  <si>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</si>
  <si>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</si>
  <si>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</si>
  <si>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</si>
  <si>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</si>
  <si>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</si>
  <si>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</si>
  <si>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</si>
  <si>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</si>
  <si>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</si>
  <si>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</si>
  <si>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</si>
  <si>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</si>
  <si>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</si>
  <si>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</si>
  <si>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</si>
  <si>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</si>
  <si>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</si>
  <si>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</si>
  <si>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</si>
  <si>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</si>
  <si>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</si>
  <si>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</si>
  <si>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</si>
  <si>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</si>
  <si>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</si>
  <si>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</si>
  <si>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</si>
  <si>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</si>
  <si>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</si>
  <si>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</si>
  <si>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</si>
  <si>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</si>
  <si>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</si>
  <si>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</si>
  <si>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</si>
  <si>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</si>
  <si>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</si>
  <si>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</si>
  <si>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</si>
  <si>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</si>
  <si>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</si>
  <si>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</si>
  <si>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</si>
  <si>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</si>
  <si>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</si>
  <si>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</si>
  <si>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</si>
  <si>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</si>
  <si>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</si>
  <si>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</si>
  <si>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</si>
  <si>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</si>
  <si>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</si>
  <si>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</si>
  <si>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</si>
  <si>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</si>
  <si>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</si>
  <si>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</si>
  <si>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</si>
  <si>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</si>
  <si>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</si>
  <si>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</si>
  <si>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</si>
  <si>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</si>
  <si>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</si>
  <si>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</si>
  <si>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</si>
  <si>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</si>
  <si>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</si>
  <si>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</si>
  <si>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</si>
  <si>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</si>
  <si>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</si>
  <si>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</si>
  <si>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</si>
  <si>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</si>
  <si>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</si>
  <si>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</si>
  <si>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</si>
  <si>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</si>
  <si>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</si>
  <si>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</si>
  <si>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</si>
  <si>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</si>
  <si>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</si>
  <si>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</si>
  <si>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</si>
  <si>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</si>
  <si>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</si>
  <si>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</si>
  <si>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</si>
  <si>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</si>
  <si>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</si>
  <si>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</si>
  <si>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</si>
  <si>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</si>
  <si>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</si>
  <si>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</si>
  <si>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</si>
  <si>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</si>
  <si>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</si>
  <si>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</si>
  <si>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</si>
  <si>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</si>
  <si>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</si>
  <si>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</si>
  <si>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</si>
  <si>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</si>
  <si>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</si>
  <si>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</si>
  <si>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</si>
  <si>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</si>
  <si>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</si>
  <si>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</si>
  <si>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</si>
  <si>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</si>
  <si>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</si>
  <si>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</si>
  <si>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</si>
  <si>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</si>
  <si>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</si>
  <si>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At</t>
  </si>
  <si>
    <t>MFLNRO&amp;RD</t>
  </si>
  <si>
    <t>Yes</t>
  </si>
  <si>
    <t>FH208240006</t>
  </si>
  <si>
    <t>Hybrid W/T</t>
  </si>
  <si>
    <t>N.Emery/C.Hayward</t>
  </si>
  <si>
    <t>2018*</t>
  </si>
  <si>
    <t>* Includes all trees infested in 2018 and earlier.</t>
  </si>
  <si>
    <t>2020 SPRUCE BEETLE SURVEYS</t>
  </si>
  <si>
    <t>Ct</t>
  </si>
  <si>
    <t>Cottonwood</t>
  </si>
  <si>
    <t>Puggins</t>
  </si>
  <si>
    <t>08PM20</t>
  </si>
  <si>
    <t>10U 0633968</t>
  </si>
  <si>
    <t>S.Puggins 1km  first N spur up 4km</t>
  </si>
  <si>
    <t>Mature S</t>
  </si>
  <si>
    <t>Flat-40</t>
  </si>
  <si>
    <t>Flat to gentle slopes</t>
  </si>
  <si>
    <t>All, favors E</t>
  </si>
  <si>
    <t>Unknown</t>
  </si>
  <si>
    <t>Ungulates</t>
  </si>
  <si>
    <t>960-1060</t>
  </si>
  <si>
    <t>Snowmobile</t>
  </si>
  <si>
    <t>4X4 and or quad</t>
  </si>
  <si>
    <t>Existing road networks and establish new roads and trails</t>
  </si>
  <si>
    <t>Existing</t>
  </si>
  <si>
    <t>and 2022</t>
  </si>
  <si>
    <t xml:space="preserve">Moderate 2021 </t>
  </si>
  <si>
    <t>Conventional trap trees April 2021, Harvest winter 2021</t>
  </si>
  <si>
    <t>Continued monitoring</t>
  </si>
  <si>
    <t>with detailed heli surveys  and ground surveys</t>
  </si>
  <si>
    <t>This polygon contains a significant amount of current Spruce beetle activity that is likely to increase over the next couple of years.</t>
  </si>
  <si>
    <t>The majority of the area surveyed is mature Spruce very susceptible to future attack as there is healthy population of Spruce beetle</t>
  </si>
  <si>
    <t xml:space="preserve">that has been picking away at the stand for several years given the number of old grey dead and code 5's observed on and off line. </t>
  </si>
  <si>
    <t xml:space="preserve">Portions of the polygon also seem prone to blowdown events as some was located though most of the fresh green blowdown was </t>
  </si>
  <si>
    <t>not attacked though suspect most will be this spring when the beetles fly.   The block is a good candidate for conventional trap trees</t>
  </si>
  <si>
    <t>though the access to it may not be ideal as it seemed to be secondary roads and or siesmic roads through some swampy ground.</t>
  </si>
  <si>
    <t>It is recommended to assess the area for furture development as it is likely the stand will succumb to Spruce beetle attack given</t>
  </si>
  <si>
    <t xml:space="preserve">the current population and abundance of healthy mature Spruce perfect for hosts to continued Spruce beetle activity.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</si>
</sst>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04"/>
  <sheetViews>
    <sheetView topLeftCell="H1" workbookViewId="0">
      <selection activeCell="L17" sqref="L17"/>
    </sheetView>
  </sheetViews>
  <sheetFormatPr defaultRowHeight="12.75" x14ac:dyDescent="0.2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208</v>
      </c>
      <c r="AA1" s="32" t="s">
        <v>198</v>
      </c>
      <c r="AB1" s="32" t="s">
        <v>199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208</v>
      </c>
      <c r="AK1" s="32" t="s">
        <v>198</v>
      </c>
      <c r="AL1" s="32" t="s">
        <v>199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208</v>
      </c>
      <c r="AU1" s="32" t="s">
        <v>198</v>
      </c>
      <c r="AV1" s="32" t="s">
        <v>199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208</v>
      </c>
      <c r="BE1" s="32" t="s">
        <v>198</v>
      </c>
      <c r="BF1" s="32" t="s">
        <v>199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208</v>
      </c>
      <c r="BO1" s="32" t="s">
        <v>198</v>
      </c>
      <c r="BP1" s="32" t="s">
        <v>199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198</v>
      </c>
      <c r="BZ1" s="32" t="s">
        <v>199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208</v>
      </c>
      <c r="CI1" s="32" t="s">
        <v>198</v>
      </c>
      <c r="CJ1" s="32" t="s">
        <v>199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198</v>
      </c>
      <c r="CT1" s="32" t="s">
        <v>199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198</v>
      </c>
      <c r="DD1" s="32" t="s">
        <v>199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210</v>
      </c>
      <c r="C3" s="181" t="s">
        <v>211</v>
      </c>
      <c r="D3" s="181">
        <v>70.900000000000006</v>
      </c>
      <c r="E3" s="181">
        <v>6875</v>
      </c>
      <c r="F3" s="182">
        <v>44220</v>
      </c>
      <c r="G3" s="181" t="s">
        <v>212</v>
      </c>
      <c r="H3" s="181">
        <v>6149450</v>
      </c>
      <c r="I3" s="6" t="s">
        <v>200</v>
      </c>
      <c r="J3" s="6" t="s">
        <v>202</v>
      </c>
      <c r="K3" s="6" t="s">
        <v>203</v>
      </c>
      <c r="L3" s="181" t="s">
        <v>204</v>
      </c>
      <c r="M3" s="6" t="s">
        <v>201</v>
      </c>
      <c r="N3" s="6">
        <v>1</v>
      </c>
      <c r="O3" s="181">
        <v>1</v>
      </c>
      <c r="P3" s="183">
        <v>1</v>
      </c>
      <c r="Q3" s="184">
        <v>1300</v>
      </c>
      <c r="R3" s="184">
        <v>1400</v>
      </c>
      <c r="S3" s="187"/>
      <c r="T3" s="186"/>
      <c r="U3" s="186"/>
      <c r="V3" s="186"/>
      <c r="W3" s="186"/>
      <c r="X3" s="186"/>
      <c r="Y3" s="186"/>
      <c r="Z3" s="186"/>
      <c r="AA3" s="186"/>
      <c r="AB3" s="186"/>
      <c r="AC3" s="189">
        <v>2</v>
      </c>
      <c r="AD3" s="186"/>
      <c r="AE3" s="186"/>
      <c r="AF3" s="186"/>
      <c r="AG3" s="186"/>
      <c r="AH3" s="186"/>
      <c r="AI3" s="186"/>
      <c r="AJ3" s="186"/>
      <c r="AK3" s="186"/>
      <c r="AL3" s="186"/>
      <c r="AM3" s="189">
        <v>7</v>
      </c>
      <c r="AN3" s="186"/>
      <c r="AO3" s="186"/>
      <c r="AP3" s="186"/>
      <c r="AQ3" s="186"/>
      <c r="AR3" s="186"/>
      <c r="AS3" s="186"/>
      <c r="AT3" s="186"/>
      <c r="AU3" s="186"/>
      <c r="AV3" s="186"/>
      <c r="AW3" s="189">
        <v>3</v>
      </c>
      <c r="AX3" s="186"/>
      <c r="AY3" s="186"/>
      <c r="AZ3" s="186"/>
      <c r="BA3" s="186"/>
      <c r="BB3" s="186"/>
      <c r="BC3" s="186"/>
      <c r="BD3" s="186"/>
      <c r="BE3" s="186"/>
      <c r="BF3" s="186"/>
      <c r="BG3" s="189">
        <v>6</v>
      </c>
      <c r="BH3" s="186"/>
      <c r="BI3" s="186"/>
      <c r="BJ3" s="186"/>
      <c r="BK3" s="186"/>
      <c r="BL3" s="186"/>
      <c r="BM3" s="186"/>
      <c r="BN3" s="186"/>
      <c r="BO3" s="186"/>
      <c r="BP3" s="186"/>
      <c r="BQ3" s="189">
        <v>9</v>
      </c>
      <c r="BR3" s="186"/>
      <c r="BS3" s="186"/>
      <c r="BT3" s="186"/>
      <c r="BU3" s="186"/>
      <c r="BV3" s="186"/>
      <c r="BW3" s="186"/>
      <c r="BX3" s="186"/>
      <c r="BY3" s="186"/>
      <c r="BZ3" s="186"/>
      <c r="CA3" s="189">
        <v>3</v>
      </c>
      <c r="CB3" s="186"/>
      <c r="CC3" s="186"/>
      <c r="CD3" s="186"/>
      <c r="CE3" s="186"/>
      <c r="CF3" s="186"/>
      <c r="CG3" s="186"/>
      <c r="CH3" s="186"/>
      <c r="CI3" s="186"/>
      <c r="CJ3" s="186"/>
      <c r="CK3" s="189">
        <v>2</v>
      </c>
      <c r="CL3" s="186">
        <v>2</v>
      </c>
      <c r="CM3" s="186"/>
      <c r="CN3" s="186"/>
      <c r="CO3" s="186"/>
      <c r="CP3" s="186"/>
      <c r="CQ3" s="186"/>
      <c r="CR3" s="186"/>
      <c r="CS3" s="186"/>
      <c r="CT3" s="186"/>
      <c r="CU3" s="189">
        <v>1</v>
      </c>
      <c r="CV3" s="186"/>
      <c r="CW3" s="186"/>
      <c r="CX3" s="186"/>
      <c r="CY3" s="186"/>
      <c r="CZ3" s="186"/>
      <c r="DA3" s="186"/>
      <c r="DB3" s="186"/>
      <c r="DC3" s="186"/>
      <c r="DD3" s="186"/>
      <c r="DE3" s="190">
        <v>1</v>
      </c>
      <c r="DF3" s="186">
        <v>2</v>
      </c>
      <c r="DG3" s="186">
        <v>0</v>
      </c>
      <c r="DH3" s="186">
        <v>4</v>
      </c>
      <c r="DI3" s="186">
        <v>0</v>
      </c>
      <c r="DJ3" s="186">
        <v>0</v>
      </c>
      <c r="DK3" s="186">
        <v>2</v>
      </c>
      <c r="DL3" s="186">
        <v>0</v>
      </c>
      <c r="DM3" s="186">
        <v>12</v>
      </c>
      <c r="DN3" s="186">
        <v>0</v>
      </c>
      <c r="DO3" s="186">
        <v>0</v>
      </c>
      <c r="DP3" s="16"/>
      <c r="DQ3" s="6">
        <f>IF(R3&gt;=1,1,0)</f>
        <v>1</v>
      </c>
      <c r="DR3" s="6">
        <f t="shared" ref="DR3:EA3" si="0">S3+AC3+AM3+AW3+BG3+BQ3+CA3+CK3+CU3</f>
        <v>33</v>
      </c>
      <c r="DS3" s="6">
        <f t="shared" si="0"/>
        <v>2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0</v>
      </c>
      <c r="DZ3" s="6">
        <f t="shared" si="0"/>
        <v>0</v>
      </c>
      <c r="EA3" s="6">
        <f t="shared" si="0"/>
        <v>0</v>
      </c>
      <c r="EB3" s="6">
        <f>DR3+DS3+DT3+DU3+DV3+DW3+DX3</f>
        <v>35</v>
      </c>
      <c r="EC3" s="6">
        <f>DY3+DZ3+EA3+EB3</f>
        <v>35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350</v>
      </c>
      <c r="D8" s="6">
        <f>A8*D3</f>
        <v>24815.000000000004</v>
      </c>
      <c r="I8" s="96" t="s">
        <v>54</v>
      </c>
      <c r="J8" s="6">
        <f>TOTALS!D20*D3</f>
        <v>23397.000000000004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1418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2</v>
      </c>
      <c r="E14" s="6">
        <v>1</v>
      </c>
      <c r="F14" s="96">
        <f>(T203*0.2125)+(AD203*0.275)+(AN203*0.325)+(AX203*0.375)+(BH203*0.425)+(BR203*0.475)+(CB203*0.525)+(CL203*0.575)+(CV203*0.601)</f>
        <v>1.1499999999999999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2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>
        <f t="shared" ref="C22:C27" si="15">F14/B14</f>
        <v>0.57499999999999996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>
        <f t="shared" si="15"/>
        <v>0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5.7142857142857135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100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1</v>
      </c>
      <c r="P203" s="43"/>
      <c r="S203" s="44">
        <f>SUM(S3:S202)</f>
        <v>0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0</v>
      </c>
      <c r="AA203" s="29">
        <f t="shared" si="100"/>
        <v>0</v>
      </c>
      <c r="AB203" s="29">
        <f t="shared" si="100"/>
        <v>0</v>
      </c>
      <c r="AC203" s="44">
        <f t="shared" si="100"/>
        <v>2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0</v>
      </c>
      <c r="AL203" s="29">
        <f t="shared" si="101"/>
        <v>0</v>
      </c>
      <c r="AM203" s="44">
        <f t="shared" si="101"/>
        <v>7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0</v>
      </c>
      <c r="AW203" s="44">
        <f t="shared" si="101"/>
        <v>3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6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9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3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2</v>
      </c>
      <c r="CL203" s="29">
        <f t="shared" si="104"/>
        <v>2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1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33</v>
      </c>
      <c r="DS203" s="29">
        <f t="shared" si="106"/>
        <v>2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0</v>
      </c>
      <c r="DZ203" s="29">
        <f t="shared" si="106"/>
        <v>0</v>
      </c>
      <c r="EA203" s="29">
        <f t="shared" si="106"/>
        <v>0</v>
      </c>
      <c r="EB203" s="29">
        <f t="shared" si="106"/>
        <v>35</v>
      </c>
      <c r="EC203" s="29">
        <f t="shared" si="106"/>
        <v>35</v>
      </c>
      <c r="ED203" s="29">
        <f t="shared" si="106"/>
        <v>1</v>
      </c>
      <c r="EE203" s="29">
        <f t="shared" si="106"/>
        <v>1</v>
      </c>
    </row>
    <row r="204" spans="13:135" x14ac:dyDescent="0.2">
      <c r="ED204" s="28">
        <f>ED203+EE203</f>
        <v>2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"/>
  <sheetViews>
    <sheetView topLeftCell="A36" workbookViewId="0">
      <selection activeCell="K30" sqref="K30"/>
    </sheetView>
  </sheetViews>
  <sheetFormatPr defaultRowHeight="12.75" x14ac:dyDescent="0.2"/>
  <cols>
    <col min="1" max="1" width="2.7109375" customWidth="1"/>
    <col min="4" max="4" width="8.7109375" customWidth="1"/>
    <col min="5" max="5" width="10.28515625" customWidth="1"/>
    <col min="6" max="6" width="11.7109375" customWidth="1"/>
    <col min="7" max="7" width="8.140625" customWidth="1"/>
    <col min="8" max="8" width="7.42578125" customWidth="1"/>
    <col min="9" max="9" width="7.28515625" customWidth="1"/>
    <col min="10" max="10" width="12.7109375" customWidth="1"/>
    <col min="11" max="11" width="7.28515625" customWidth="1"/>
    <col min="12" max="12" width="14.140625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Puggins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FH208240006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 t="str">
        <f>ENTRY!C3</f>
        <v>08PM20</v>
      </c>
      <c r="F8" s="45"/>
      <c r="H8" s="46" t="s">
        <v>79</v>
      </c>
      <c r="I8" s="45"/>
      <c r="J8" s="136" t="str">
        <f>ENTRY!L3</f>
        <v>N.Emery/C.Hayward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 W/T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80">
        <f>ENTRY!F3</f>
        <v>44220</v>
      </c>
      <c r="F10" s="45"/>
      <c r="H10" s="46" t="s">
        <v>83</v>
      </c>
      <c r="I10" s="46" t="s">
        <v>84</v>
      </c>
      <c r="J10" s="136" t="str">
        <f>ENTRY!G3</f>
        <v>10U 0633968</v>
      </c>
      <c r="K10" s="46" t="s">
        <v>85</v>
      </c>
      <c r="L10" s="136">
        <f>ENTRY!H3</f>
        <v>6149450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70.900000000000006</v>
      </c>
      <c r="F11" s="45"/>
      <c r="H11" s="46" t="s">
        <v>87</v>
      </c>
      <c r="I11" s="45"/>
      <c r="J11" s="45"/>
      <c r="K11" s="136">
        <f>ENTRY!E3</f>
        <v>6875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2020</v>
      </c>
      <c r="F15" s="31"/>
      <c r="G15" s="30">
        <v>2019</v>
      </c>
      <c r="H15" s="31"/>
      <c r="I15" s="30" t="s">
        <v>205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1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33</v>
      </c>
      <c r="E18" s="80">
        <f>ENTRY!DS203</f>
        <v>2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1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330</v>
      </c>
      <c r="E20" s="100">
        <f>ENTRY!DS203/ENTRY!DQ203*10</f>
        <v>20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1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94.285714285714278</v>
      </c>
      <c r="E22" s="100">
        <f>ENTRY!J9/ENTRY!D8*100</f>
        <v>5.7142857142857135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1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1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1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1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1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209</v>
      </c>
      <c r="G31" s="82">
        <f>ENTRY!DY203</f>
        <v>0</v>
      </c>
      <c r="H31" s="83"/>
      <c r="I31" s="102">
        <f>ENTRY!DY203/ENTRY!DQ203*10</f>
        <v>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98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197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99</v>
      </c>
      <c r="C35" s="152" t="s">
        <v>100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101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102</v>
      </c>
      <c r="C39" s="50"/>
      <c r="D39" s="50"/>
      <c r="E39" s="50"/>
      <c r="G39" s="98">
        <f>ENTRY!O203</f>
        <v>1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103</v>
      </c>
      <c r="C41" s="50"/>
      <c r="D41" s="50"/>
      <c r="E41" s="50"/>
      <c r="G41" s="98">
        <f>G31+G32+G33</f>
        <v>0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104</v>
      </c>
      <c r="C43" s="50"/>
      <c r="D43" s="50"/>
      <c r="E43" s="50"/>
      <c r="G43" s="98">
        <f>ENTRY!EB203</f>
        <v>35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105</v>
      </c>
      <c r="C44" s="50"/>
      <c r="D44" s="50"/>
      <c r="E44" s="50"/>
      <c r="G44" s="111">
        <f>G43/ENTRY!EC203*100</f>
        <v>100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106</v>
      </c>
      <c r="C48" s="151" t="s">
        <v>107</v>
      </c>
      <c r="M48" s="50"/>
      <c r="N48" s="49"/>
    </row>
    <row r="49" spans="1:14" ht="13.5" thickBot="1" x14ac:dyDescent="0.25">
      <c r="A49" s="48"/>
      <c r="C49" s="7" t="s">
        <v>108</v>
      </c>
      <c r="D49" s="7" t="s">
        <v>109</v>
      </c>
      <c r="E49" s="7" t="s">
        <v>54</v>
      </c>
      <c r="F49" s="72">
        <v>2020</v>
      </c>
      <c r="G49" s="73"/>
      <c r="H49" s="72">
        <v>2019</v>
      </c>
      <c r="I49" s="73"/>
      <c r="J49" s="72" t="s">
        <v>205</v>
      </c>
      <c r="K49" s="73"/>
      <c r="L49" s="7" t="s">
        <v>110</v>
      </c>
      <c r="M49" s="50"/>
      <c r="N49" s="49"/>
    </row>
    <row r="50" spans="1:14" ht="13.5" thickBot="1" x14ac:dyDescent="0.25">
      <c r="A50" s="48"/>
      <c r="C50" s="8" t="s">
        <v>111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112</v>
      </c>
      <c r="M50" s="50"/>
      <c r="N50" s="49"/>
    </row>
    <row r="51" spans="1:14" x14ac:dyDescent="0.2">
      <c r="A51" s="48"/>
      <c r="C51" s="9" t="s">
        <v>113</v>
      </c>
      <c r="D51" s="9">
        <v>3.3</v>
      </c>
      <c r="E51" s="80">
        <f>SUM(ENTRY!S3:'ENTRY'!S202)</f>
        <v>0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0</v>
      </c>
      <c r="M51" s="50"/>
      <c r="N51" s="49"/>
    </row>
    <row r="52" spans="1:14" x14ac:dyDescent="0.2">
      <c r="A52" s="48"/>
      <c r="C52" s="9" t="s">
        <v>114</v>
      </c>
      <c r="D52" s="9">
        <v>5.3</v>
      </c>
      <c r="E52" s="80">
        <f>SUM(ENTRY!AC3:'ENTRY'!AC202)</f>
        <v>2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0</v>
      </c>
      <c r="M52" s="50"/>
      <c r="N52" s="49"/>
    </row>
    <row r="53" spans="1:14" x14ac:dyDescent="0.2">
      <c r="A53" s="48"/>
      <c r="C53" s="9" t="s">
        <v>115</v>
      </c>
      <c r="D53" s="9">
        <v>7.1</v>
      </c>
      <c r="E53" s="80">
        <f>SUM(ENTRY!AM3:'ENTRY'!AM202)</f>
        <v>7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0</v>
      </c>
      <c r="M53" s="50"/>
      <c r="N53" s="49"/>
    </row>
    <row r="54" spans="1:14" x14ac:dyDescent="0.2">
      <c r="A54" s="48"/>
      <c r="C54" s="9" t="s">
        <v>116</v>
      </c>
      <c r="D54" s="9">
        <v>9.4</v>
      </c>
      <c r="E54" s="80">
        <f>SUM(ENTRY!AW3:'ENTRY'!AW202)</f>
        <v>3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117</v>
      </c>
      <c r="D55" s="9">
        <v>11.6</v>
      </c>
      <c r="E55" s="80">
        <f>SUM(ENTRY!BG3:'ENTRY'!BG202)</f>
        <v>6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118</v>
      </c>
      <c r="D56" s="9">
        <v>13.8</v>
      </c>
      <c r="E56" s="80">
        <f>SUM(ENTRY!BQ3:'ENTRY'!BQ202)</f>
        <v>9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119</v>
      </c>
      <c r="D57" s="9">
        <v>16.2</v>
      </c>
      <c r="E57" s="80">
        <f>SUM(ENTRY!CA3:'ENTRY'!CA202)</f>
        <v>3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120</v>
      </c>
      <c r="D58" s="9">
        <v>18.7</v>
      </c>
      <c r="E58" s="80">
        <f>SUM(ENTRY!CK3:'ENTRY'!CK202)</f>
        <v>2</v>
      </c>
      <c r="F58" s="80">
        <f>SUM(ENTRY!CL3:'ENTRY'!CL202)</f>
        <v>2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121</v>
      </c>
      <c r="D59" s="123">
        <v>25.3</v>
      </c>
      <c r="E59" s="146">
        <f>SUM(ENTRY!CU3:'ENTRY'!CU202)</f>
        <v>1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33</v>
      </c>
      <c r="F60" s="144">
        <f t="shared" si="0"/>
        <v>2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0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206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topLeftCell="A22" workbookViewId="0">
      <selection activeCell="H1" sqref="H1"/>
    </sheetView>
  </sheetViews>
  <sheetFormatPr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207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122</v>
      </c>
      <c r="C6" s="16"/>
      <c r="D6" s="150" t="s">
        <v>123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124</v>
      </c>
      <c r="E7" s="2"/>
      <c r="F7" s="2"/>
      <c r="G7" s="2"/>
      <c r="H7" s="3"/>
      <c r="I7" s="1" t="s">
        <v>125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126</v>
      </c>
      <c r="E8" s="7" t="s">
        <v>126</v>
      </c>
      <c r="F8" s="7" t="s">
        <v>126</v>
      </c>
      <c r="G8" s="7" t="s">
        <v>126</v>
      </c>
      <c r="H8" s="7" t="s">
        <v>126</v>
      </c>
      <c r="I8" s="7" t="s">
        <v>126</v>
      </c>
      <c r="J8" s="7" t="s">
        <v>126</v>
      </c>
      <c r="K8" s="7" t="s">
        <v>126</v>
      </c>
      <c r="L8" s="7" t="s">
        <v>126</v>
      </c>
      <c r="M8" s="7" t="s">
        <v>126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127</v>
      </c>
      <c r="H9" s="8" t="s">
        <v>128</v>
      </c>
      <c r="I9" s="8" t="s">
        <v>37</v>
      </c>
      <c r="J9" s="8" t="s">
        <v>39</v>
      </c>
      <c r="K9" s="8" t="s">
        <v>38</v>
      </c>
      <c r="L9" s="8" t="s">
        <v>127</v>
      </c>
      <c r="M9" s="8" t="s">
        <v>128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0</v>
      </c>
      <c r="E10" s="79">
        <f>ENTRY!DI3</f>
        <v>0</v>
      </c>
      <c r="F10" s="79">
        <f>ENTRY!DH3</f>
        <v>4</v>
      </c>
      <c r="G10" s="79">
        <f>ENTRY!DJ3</f>
        <v>0</v>
      </c>
      <c r="H10" s="79">
        <f>ENTRY!DF3</f>
        <v>2</v>
      </c>
      <c r="I10" s="79">
        <f>ENTRY!DL3</f>
        <v>0</v>
      </c>
      <c r="J10" s="79">
        <f>ENTRY!DN3</f>
        <v>0</v>
      </c>
      <c r="K10" s="79">
        <f>ENTRY!DM3</f>
        <v>12</v>
      </c>
      <c r="L10" s="79">
        <f>ENTRY!DO3</f>
        <v>0</v>
      </c>
      <c r="M10" s="79">
        <f>ENTRY!DK3</f>
        <v>2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129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4</v>
      </c>
      <c r="G30" s="118">
        <f t="shared" si="0"/>
        <v>0</v>
      </c>
      <c r="H30" s="117">
        <f t="shared" si="0"/>
        <v>2</v>
      </c>
      <c r="I30" s="118">
        <f t="shared" si="0"/>
        <v>0</v>
      </c>
      <c r="J30" s="117">
        <f t="shared" si="0"/>
        <v>0</v>
      </c>
      <c r="K30" s="118">
        <f t="shared" si="0"/>
        <v>12</v>
      </c>
      <c r="L30" s="117">
        <f t="shared" si="0"/>
        <v>0</v>
      </c>
      <c r="M30" s="118">
        <f t="shared" si="0"/>
        <v>2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130</v>
      </c>
      <c r="C32" s="125"/>
      <c r="D32" s="148" t="s">
        <v>131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132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133</v>
      </c>
      <c r="C35" s="116"/>
      <c r="D35" s="113"/>
      <c r="E35" s="114" t="s">
        <v>134</v>
      </c>
      <c r="F35" s="113"/>
      <c r="G35" s="16"/>
      <c r="H35" s="97" t="s">
        <v>135</v>
      </c>
      <c r="I35" s="16"/>
      <c r="J35" s="114" t="s">
        <v>136</v>
      </c>
      <c r="K35" s="113"/>
      <c r="L35"/>
      <c r="M35"/>
      <c r="N35" s="15"/>
      <c r="O35"/>
    </row>
    <row r="36" spans="1:15" x14ac:dyDescent="0.2">
      <c r="A36" s="14"/>
      <c r="B36" s="71" t="s">
        <v>137</v>
      </c>
      <c r="C36" s="113"/>
      <c r="D36" s="113"/>
      <c r="E36" s="113" t="s">
        <v>138</v>
      </c>
      <c r="F36" s="113"/>
      <c r="G36" s="16"/>
      <c r="H36" s="16" t="s">
        <v>139</v>
      </c>
      <c r="I36" s="16"/>
      <c r="J36" s="113" t="s">
        <v>138</v>
      </c>
      <c r="K36" s="113"/>
      <c r="L36"/>
      <c r="M36"/>
      <c r="N36" s="15"/>
      <c r="O36"/>
    </row>
    <row r="37" spans="1:15" x14ac:dyDescent="0.2">
      <c r="A37" s="14"/>
      <c r="B37" s="71" t="s">
        <v>140</v>
      </c>
      <c r="C37" s="113"/>
      <c r="D37" s="113"/>
      <c r="E37" s="113" t="s">
        <v>141</v>
      </c>
      <c r="F37" s="113"/>
      <c r="G37" s="16"/>
      <c r="H37" s="16" t="s">
        <v>142</v>
      </c>
      <c r="I37" s="16"/>
      <c r="J37" s="113" t="s">
        <v>141</v>
      </c>
      <c r="K37" s="113"/>
      <c r="L37"/>
      <c r="M37"/>
      <c r="N37" s="15"/>
      <c r="O37"/>
    </row>
    <row r="38" spans="1:15" x14ac:dyDescent="0.2">
      <c r="A38" s="14"/>
      <c r="B38" s="71" t="s">
        <v>143</v>
      </c>
      <c r="C38" s="113"/>
      <c r="D38" s="113"/>
      <c r="E38" s="113" t="s">
        <v>144</v>
      </c>
      <c r="F38" s="113"/>
      <c r="G38" s="16"/>
      <c r="H38" s="16" t="s">
        <v>145</v>
      </c>
      <c r="I38" s="16"/>
      <c r="J38" s="113" t="s">
        <v>144</v>
      </c>
      <c r="K38" s="113"/>
      <c r="L38"/>
      <c r="M38"/>
      <c r="N38" s="15"/>
      <c r="O38"/>
    </row>
    <row r="39" spans="1:15" x14ac:dyDescent="0.2">
      <c r="A39" s="14"/>
      <c r="B39" s="71" t="s">
        <v>146</v>
      </c>
      <c r="C39" s="113"/>
      <c r="D39" s="113"/>
      <c r="E39" s="113" t="s">
        <v>147</v>
      </c>
      <c r="F39" s="113"/>
      <c r="G39" s="16"/>
      <c r="H39" s="16" t="s">
        <v>148</v>
      </c>
      <c r="I39" s="16"/>
      <c r="J39" s="113" t="s">
        <v>147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149</v>
      </c>
      <c r="C41" s="16"/>
      <c r="D41" s="16"/>
      <c r="E41" s="16"/>
      <c r="F41"/>
      <c r="G41" s="98">
        <f>(H30+M30)/ENTRY!L16</f>
        <v>2</v>
      </c>
      <c r="N41" s="15"/>
      <c r="O41"/>
    </row>
    <row r="42" spans="1:15" x14ac:dyDescent="0.2">
      <c r="A42" s="14"/>
      <c r="B42" s="20" t="s">
        <v>150</v>
      </c>
      <c r="C42" s="16"/>
      <c r="D42" s="16"/>
      <c r="E42"/>
      <c r="G42" s="98">
        <f>(F30+K30)/ENTRY!L16</f>
        <v>8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151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152</v>
      </c>
      <c r="C46" s="125"/>
      <c r="D46" s="148" t="s">
        <v>153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154</v>
      </c>
      <c r="F48" s="175">
        <f>(ENTRY!A32+ENTRY!A33/1.5+ENTRY!A34/2)*ENTRY!A35</f>
        <v>571.42857142857133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155</v>
      </c>
      <c r="F50" s="96" t="s">
        <v>156</v>
      </c>
      <c r="I50" s="71" t="s">
        <v>157</v>
      </c>
      <c r="J50" s="71"/>
      <c r="K50" s="71"/>
      <c r="N50" s="15"/>
      <c r="O50"/>
    </row>
    <row r="51" spans="1:15" x14ac:dyDescent="0.2">
      <c r="A51" s="14"/>
      <c r="B51" s="158" t="s">
        <v>158</v>
      </c>
      <c r="C51" s="159"/>
      <c r="F51" s="160" t="s">
        <v>159</v>
      </c>
      <c r="G51" s="160"/>
      <c r="I51" s="160" t="s">
        <v>160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161</v>
      </c>
      <c r="C53" s="71"/>
      <c r="F53" s="71" t="s">
        <v>162</v>
      </c>
      <c r="G53" s="71"/>
      <c r="I53" s="96" t="s">
        <v>163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141</v>
      </c>
      <c r="C55" s="71"/>
      <c r="F55" s="71" t="s">
        <v>164</v>
      </c>
      <c r="G55" s="71"/>
      <c r="I55" s="96" t="s">
        <v>165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166</v>
      </c>
      <c r="C57" s="164"/>
      <c r="D57" s="125"/>
      <c r="E57" s="125"/>
      <c r="F57" s="164" t="s">
        <v>167</v>
      </c>
      <c r="G57" s="164"/>
      <c r="H57" s="125"/>
      <c r="I57" s="165" t="s">
        <v>168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tabSelected="1" topLeftCell="A23" workbookViewId="0">
      <selection activeCell="B48" sqref="B48"/>
    </sheetView>
  </sheetViews>
  <sheetFormatPr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3.28515625" style="6" customWidth="1"/>
    <col min="6" max="6" width="8.140625" style="6" customWidth="1"/>
    <col min="7" max="7" width="12.5703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207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Puggins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169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FH208240006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 t="str">
        <f>ENTRY!C3</f>
        <v>08PM20</v>
      </c>
      <c r="F8" s="127"/>
      <c r="G8" s="127"/>
      <c r="H8" s="50"/>
      <c r="I8" s="126" t="s">
        <v>170</v>
      </c>
      <c r="J8" s="127"/>
      <c r="K8" s="127"/>
      <c r="L8" s="134" t="str">
        <f>ENTRY!L3</f>
        <v>N.Emery/C.Hayward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70.900000000000006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171</v>
      </c>
      <c r="C10" s="127"/>
      <c r="D10" s="127"/>
      <c r="E10" s="179">
        <f>ENTRY!F3</f>
        <v>44220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 W/T</v>
      </c>
      <c r="M10" s="127"/>
      <c r="N10" s="127"/>
      <c r="O10" s="142"/>
    </row>
    <row r="11" spans="1:15" ht="16.5" thickBot="1" x14ac:dyDescent="0.3">
      <c r="A11" s="14"/>
      <c r="B11" s="126" t="s">
        <v>172</v>
      </c>
      <c r="C11" s="127"/>
      <c r="D11" s="133" t="s">
        <v>84</v>
      </c>
      <c r="E11" s="136" t="str">
        <f>ENTRY!G3</f>
        <v>10U 0633968</v>
      </c>
      <c r="F11" s="133" t="s">
        <v>85</v>
      </c>
      <c r="G11" s="136">
        <f>ENTRY!H3</f>
        <v>6149450</v>
      </c>
      <c r="H11" s="50"/>
      <c r="I11" s="129" t="s">
        <v>87</v>
      </c>
      <c r="J11" s="127"/>
      <c r="K11" s="127"/>
      <c r="L11" s="134">
        <f>ENTRY!E3</f>
        <v>6875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173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174</v>
      </c>
      <c r="C16" s="50"/>
      <c r="D16" s="50"/>
      <c r="E16" s="138" t="s">
        <v>213</v>
      </c>
      <c r="F16" s="138"/>
      <c r="G16" s="138"/>
      <c r="H16" s="52" t="s">
        <v>175</v>
      </c>
      <c r="I16" s="50"/>
      <c r="J16" s="98" t="s">
        <v>214</v>
      </c>
      <c r="K16" s="50"/>
      <c r="L16" s="52" t="s">
        <v>176</v>
      </c>
      <c r="M16" s="138" t="s">
        <v>215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177</v>
      </c>
      <c r="C18" s="50"/>
      <c r="D18" s="50"/>
      <c r="E18" s="138" t="s">
        <v>216</v>
      </c>
      <c r="F18" s="138"/>
      <c r="G18" s="138"/>
      <c r="H18" s="52" t="s">
        <v>178</v>
      </c>
      <c r="I18" s="50"/>
      <c r="J18" s="98" t="s">
        <v>201</v>
      </c>
      <c r="K18" s="138"/>
      <c r="L18" s="52" t="s">
        <v>179</v>
      </c>
      <c r="M18" s="138" t="s">
        <v>217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180</v>
      </c>
      <c r="C20" s="50"/>
      <c r="D20" s="50"/>
      <c r="E20" s="50"/>
      <c r="F20" s="50"/>
      <c r="G20" s="98" t="s">
        <v>218</v>
      </c>
      <c r="H20" s="52" t="s">
        <v>181</v>
      </c>
      <c r="I20" s="50"/>
      <c r="J20" s="98" t="s">
        <v>219</v>
      </c>
      <c r="K20" s="50"/>
      <c r="L20" s="52" t="s">
        <v>182</v>
      </c>
      <c r="M20" s="50"/>
      <c r="N20" s="138" t="s">
        <v>220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183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184</v>
      </c>
      <c r="C24" s="50"/>
      <c r="D24" s="50"/>
      <c r="E24" s="98" t="s">
        <v>221</v>
      </c>
      <c r="F24" s="50"/>
      <c r="G24" s="50"/>
      <c r="H24" s="52" t="s">
        <v>185</v>
      </c>
      <c r="I24" s="50"/>
      <c r="J24" s="98" t="s">
        <v>222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186</v>
      </c>
      <c r="C26" s="50"/>
      <c r="D26" s="50"/>
      <c r="E26" s="50"/>
      <c r="F26" s="50"/>
      <c r="G26" s="98" t="s">
        <v>223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187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188</v>
      </c>
      <c r="C30" s="50"/>
      <c r="D30" s="50"/>
      <c r="E30" s="50"/>
      <c r="F30" s="98" t="s">
        <v>224</v>
      </c>
      <c r="G30" s="50"/>
      <c r="H30" s="50"/>
      <c r="I30" s="52" t="s">
        <v>189</v>
      </c>
      <c r="J30" s="50"/>
      <c r="K30" s="50"/>
      <c r="L30" s="139" t="s">
        <v>141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190</v>
      </c>
      <c r="C32" s="50"/>
      <c r="D32" s="50"/>
      <c r="E32" s="98" t="s">
        <v>141</v>
      </c>
      <c r="F32" s="50"/>
      <c r="G32" s="50"/>
      <c r="H32" s="50"/>
      <c r="I32" s="52" t="s">
        <v>191</v>
      </c>
      <c r="J32" s="50"/>
      <c r="K32" s="50"/>
      <c r="L32" s="98" t="s">
        <v>144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192</v>
      </c>
      <c r="C34" s="50"/>
      <c r="D34" s="50"/>
      <c r="E34" s="98" t="s">
        <v>144</v>
      </c>
      <c r="F34" s="138"/>
      <c r="G34" s="50"/>
      <c r="H34" s="50"/>
      <c r="I34" s="52" t="s">
        <v>193</v>
      </c>
      <c r="J34" s="50"/>
      <c r="K34" s="50"/>
      <c r="L34" s="98" t="s">
        <v>226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98" t="s">
        <v>225</v>
      </c>
      <c r="M35" s="50"/>
      <c r="N35" s="50"/>
      <c r="O35" s="15"/>
    </row>
    <row r="36" spans="1:15" ht="15" x14ac:dyDescent="0.2">
      <c r="A36" s="14"/>
      <c r="B36" s="132" t="s">
        <v>194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195</v>
      </c>
      <c r="C38" s="131"/>
      <c r="D38" s="131"/>
      <c r="E38" s="176" t="s">
        <v>227</v>
      </c>
      <c r="F38" s="178"/>
      <c r="G38" s="131"/>
      <c r="H38" s="50"/>
      <c r="I38" s="156" t="s">
        <v>196</v>
      </c>
      <c r="J38" s="50"/>
      <c r="K38" s="50"/>
      <c r="L38" s="138" t="s">
        <v>228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138" t="s">
        <v>229</v>
      </c>
      <c r="J39" s="50"/>
      <c r="K39" s="50"/>
      <c r="L39" s="50"/>
      <c r="M39" s="50"/>
      <c r="N39" s="50"/>
      <c r="O39" s="15"/>
    </row>
    <row r="40" spans="1:15" x14ac:dyDescent="0.2">
      <c r="A40" s="76"/>
      <c r="B40" s="177"/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2">
      <c r="A41" s="76"/>
      <c r="B41" s="98" t="s">
        <v>230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2">
      <c r="A42" s="76"/>
      <c r="B42" s="98" t="s">
        <v>231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 t="s">
        <v>232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 t="s">
        <v>233</v>
      </c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 t="s">
        <v>234</v>
      </c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 t="s">
        <v>235</v>
      </c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 t="s">
        <v>236</v>
      </c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 t="s">
        <v>237</v>
      </c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Neil Emery</cp:lastModifiedBy>
  <cp:lastPrinted>1997-06-23T18:34:36Z</cp:lastPrinted>
  <dcterms:created xsi:type="dcterms:W3CDTF">1996-10-03T18:46:17Z</dcterms:created>
  <dcterms:modified xsi:type="dcterms:W3CDTF">2021-03-01T19:49:11Z</dcterms:modified>
</cp:coreProperties>
</file>